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erenhasankasap/Downloads/"/>
    </mc:Choice>
  </mc:AlternateContent>
  <xr:revisionPtr revIDLastSave="0" documentId="13_ncr:1_{FDB9FFF3-908F-A344-8CC3-710E274365BD}" xr6:coauthVersionLast="47" xr6:coauthVersionMax="47" xr10:uidLastSave="{00000000-0000-0000-0000-000000000000}"/>
  <bookViews>
    <workbookView xWindow="0" yWindow="660" windowWidth="29400" windowHeight="18460" tabRatio="500" xr2:uid="{00000000-000D-0000-FFFF-FFFF00000000}"/>
  </bookViews>
  <sheets>
    <sheet name="Competitive Analysis" sheetId="1" r:id="rId1"/>
    <sheet name="Cost Analysi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2" l="1"/>
  <c r="C33" i="2"/>
  <c r="C56" i="2"/>
  <c r="B55" i="2"/>
  <c r="D52" i="2"/>
  <c r="C52" i="2"/>
  <c r="B51" i="2"/>
  <c r="B48" i="2"/>
  <c r="D46" i="2"/>
  <c r="C46" i="2"/>
  <c r="B44" i="2"/>
  <c r="B43" i="2"/>
  <c r="B40" i="2"/>
  <c r="B39" i="2"/>
  <c r="B38" i="2"/>
  <c r="B37" i="2"/>
  <c r="B36" i="2"/>
  <c r="B35" i="2"/>
  <c r="B33" i="2"/>
  <c r="B32" i="2"/>
  <c r="D31" i="2"/>
  <c r="C31" i="2"/>
  <c r="B31" i="2"/>
  <c r="B30" i="2"/>
  <c r="C28" i="2"/>
  <c r="D27" i="2"/>
  <c r="D28" i="2" s="1"/>
  <c r="B26" i="2"/>
  <c r="B25" i="2"/>
  <c r="B24" i="2"/>
  <c r="B23" i="2"/>
  <c r="B22" i="2"/>
  <c r="B21" i="2"/>
  <c r="B20" i="2"/>
  <c r="B19" i="2"/>
  <c r="B18" i="2"/>
  <c r="B17" i="2"/>
  <c r="D41" i="2" l="1"/>
  <c r="B46" i="2"/>
  <c r="D53" i="2"/>
  <c r="D58" i="2" s="1"/>
  <c r="B41" i="2"/>
  <c r="C41" i="2"/>
  <c r="C53" i="2" s="1"/>
  <c r="C62" i="2" s="1"/>
  <c r="B28" i="2"/>
  <c r="B49" i="2"/>
  <c r="B52" i="2" s="1"/>
  <c r="B53" i="2" l="1"/>
  <c r="B59" i="2" s="1"/>
  <c r="B60" i="2"/>
  <c r="B57" i="2"/>
  <c r="B61" i="2" l="1"/>
</calcChain>
</file>

<file path=xl/sharedStrings.xml><?xml version="1.0" encoding="utf-8"?>
<sst xmlns="http://schemas.openxmlformats.org/spreadsheetml/2006/main" count="196" uniqueCount="178">
  <si>
    <t>Party Game Apps - Competitive Analysis</t>
  </si>
  <si>
    <t>Product</t>
  </si>
  <si>
    <t>Platform</t>
  </si>
  <si>
    <t>Pricing Model</t>
  </si>
  <si>
    <t>Core Loop</t>
  </si>
  <si>
    <t>Monetization Method</t>
  </si>
  <si>
    <t>Virality Mechanism</t>
  </si>
  <si>
    <t>Biggest Weakness</t>
  </si>
  <si>
    <t>Target Audience</t>
  </si>
  <si>
    <t>App Store Rating (est.)</t>
  </si>
  <si>
    <t>Estimated Downloads (app-level)</t>
  </si>
  <si>
    <t>Heads Up!</t>
  </si>
  <si>
    <t>Both (iOS/Android)</t>
  </si>
  <si>
    <t>Paid + IAP</t>
  </si>
  <si>
    <t>Place phone on forehead, friends give clues, tilt down for correct, up to skip — race against the timer.</t>
  </si>
  <si>
    <t>Upfront fee (~$0.99) + themed deck IAPs</t>
  </si>
  <si>
    <t>Built-in video recording — funny moments shared on social media; Ellen DeGeneres effect</t>
  </si>
  <si>
    <t>Limited free content; replayability drops once decks are exhausted</t>
  </si>
  <si>
    <t>Mass market, ages 12+, families and friend groups</t>
  </si>
  <si>
    <t>50M+</t>
  </si>
  <si>
    <t>Spaceteam</t>
  </si>
  <si>
    <t>Free (ad-free)</t>
  </si>
  <si>
    <t>Players shout technical commands from their own screens to teammates; complete tasks before the spaceship explodes.</t>
  </si>
  <si>
    <t>Donations / Donationware (in-app tip jar)</t>
  </si>
  <si>
    <t>Local multiplayer — chaotic shouting attracts bystanders; strong social proof</t>
  </si>
  <si>
    <t>Weak monetization; requires at least 2 players (no solo mode)</t>
  </si>
  <si>
    <t>Ages 18-35, tech-savvy friend groups, indie game enthusiasts</t>
  </si>
  <si>
    <t>1–5M</t>
  </si>
  <si>
    <t>Freemium</t>
  </si>
  <si>
    <t>Players take turns picking truth or dare; app serves a random prompt, then passes to the next player.</t>
  </si>
  <si>
    <t>Ads + Premium category IAPs (18+ packs)</t>
  </si>
  <si>
    <t>Natural sharing in party settings; spicy-mode screenshots go viral on social media</t>
  </si>
  <si>
    <t>Generic category — high competition, low differentiation; inconsistent content quality</t>
  </si>
  <si>
    <t>Ages 16-25, high school and university students</t>
  </si>
  <si>
    <t>5–10M</t>
  </si>
  <si>
    <t>King of Booze</t>
  </si>
  <si>
    <t>Players enter names; app serves drinking-themed cards/dares (who drinks, who asks); rounds continue.</t>
  </si>
  <si>
    <t>Ads + Premium version IAP (ad-free + extra cards)</t>
  </si>
  <si>
    <t>Word of mouth in drinking/party settings; users get friends to download on the spot</t>
  </si>
  <si>
    <t>Narrow demographic; platform policies restrict alcohol-related content</t>
  </si>
  <si>
    <t>Ages 21+, bar/house party/college settings</t>
  </si>
  <si>
    <t>Never Have I Ever</t>
  </si>
  <si>
    <t>App serves a 'never have I ever…' statement; players who have done it put a finger down / drink; rounds continue.</t>
  </si>
  <si>
    <t>Ads + Category pack IAPs</t>
  </si>
  <si>
    <t>Classic party-game nostalgia; short sessions and group format drive natural group sharing</t>
  </si>
  <si>
    <t>Mechanic is overly simple — easy to clone, no real differentiation</t>
  </si>
  <si>
    <t>Ages 16-30, students and young adults</t>
  </si>
  <si>
    <t>Circle Panic (concept)</t>
  </si>
  <si>
    <t>F2P (Free-to-Play)</t>
  </si>
  <si>
    <t>Grab the center balls before opponents → loser draws a penalty card → physical/verbal penalty performed → next round.</t>
  </si>
  <si>
    <t>Interstitial ads + IAP penalty decks ($0.99–$1.99)</t>
  </si>
  <si>
    <t>TikTok/Reels — penalty moments recorded on video; friends pressure each other to download in person (network effect)</t>
  </si>
  <si>
    <t>Pre-launch / concept stage; requires physical co-location to play</t>
  </si>
  <si>
    <t>Ages 16-25, university students, in-person friend groups</t>
  </si>
  <si>
    <t>N/A (concept)</t>
  </si>
  <si>
    <t>Circle Panic — Cost Comparison: Full Studio vs. 2-Student Bootstrap</t>
  </si>
  <si>
    <t>USD | Sources: Glassdoor, Levels.fyi, Indeed (USA averages 2025) | Scenarios differ in timeline AND scope</t>
  </si>
  <si>
    <t>KEY ASSUMPTIONS  (blue = change these to recalculate entire model)</t>
  </si>
  <si>
    <t>Assumption</t>
  </si>
  <si>
    <t>Studio Scenario</t>
  </si>
  <si>
    <t>Student Scenario</t>
  </si>
  <si>
    <t>Unit</t>
  </si>
  <si>
    <t>Notes</t>
  </si>
  <si>
    <t>Development duration</t>
  </si>
  <si>
    <t>months</t>
  </si>
  <si>
    <t>Development duration (Students)</t>
  </si>
  <si>
    <t>Kept separate so each drives its own cost formulas independently</t>
  </si>
  <si>
    <t>Team size (Studio)</t>
  </si>
  <si>
    <t>people</t>
  </si>
  <si>
    <t>10 FTE: Game Designer, 2x Mobile Dev, Backend, UI/UX, Artist, QA, PM, DevOps 0.5, Marketing</t>
  </si>
  <si>
    <t>Team size (Students)</t>
  </si>
  <si>
    <t>2 founders covering all roles part-time</t>
  </si>
  <si>
    <t>Weekly hours per person (Studio)</t>
  </si>
  <si>
    <t>hrs/wk</t>
  </si>
  <si>
    <t>Full-time</t>
  </si>
  <si>
    <t>Weekly hours per person (Students)</t>
  </si>
  <si>
    <t>Part-time — studying simultaneously</t>
  </si>
  <si>
    <t>Opportunity cost rate (Students)</t>
  </si>
  <si>
    <t>$/hr</t>
  </si>
  <si>
    <t>Forgone internship/junior dev wage — conservative US estimate</t>
  </si>
  <si>
    <t>Total person-months (Studio)</t>
  </si>
  <si>
    <t>Deliverable scope</t>
  </si>
  <si>
    <t>Full product</t>
  </si>
  <si>
    <t>Lean MVP</t>
  </si>
  <si>
    <t>Studio: all features + live ops + marketing. Students: core loop + IAP + organic launch only</t>
  </si>
  <si>
    <t>Cost Item</t>
  </si>
  <si>
    <t>Studio Scenario
9 mo · 10 FTE · Full Product (USD)</t>
  </si>
  <si>
    <t>Student Scenario — Out-of-Pocket
18 mo · 2 Students (USD)</t>
  </si>
  <si>
    <t>Student Scenario — Incl. Opportunity Cost
18 mo · 2 Students (USD)</t>
  </si>
  <si>
    <t>Game Designer (Lead)</t>
  </si>
  <si>
    <t>USD 120K/yr × duration. Source: Glassdoor 2025</t>
  </si>
  <si>
    <t>Backend Developer (Multiplayer)</t>
  </si>
  <si>
    <t>USD 145K/yr × duration. Source: Levels.fyi 2025</t>
  </si>
  <si>
    <t>Mobile Developer #1 (Unity)</t>
  </si>
  <si>
    <t>USD 130K/yr × duration. Source: Glassdoor 2025</t>
  </si>
  <si>
    <t>Mobile Developer #2 (Unity)</t>
  </si>
  <si>
    <t>UI/UX Designer</t>
  </si>
  <si>
    <t>USD 105K/yr × duration. Source: Indeed 2025</t>
  </si>
  <si>
    <t>2D/3D Artist</t>
  </si>
  <si>
    <t>USD 95K/yr × duration. Source: Glassdoor 2025</t>
  </si>
  <si>
    <t>QA Engineer</t>
  </si>
  <si>
    <t>USD 85K/yr × duration. Source: Indeed 2025</t>
  </si>
  <si>
    <t>Product Manager</t>
  </si>
  <si>
    <t>USD 140K/yr × duration. Source: Levels.fyi 2025</t>
  </si>
  <si>
    <t>DevOps / Infra (0.5 FTE)</t>
  </si>
  <si>
    <t>USD 70K/yr (0.5 FTE × USD 140K). Source: Glassdoor 2025</t>
  </si>
  <si>
    <t>Marketing / Growth Manager</t>
  </si>
  <si>
    <t>USD 100K/yr × duration. Source: Indeed 2025</t>
  </si>
  <si>
    <t>2 Students — all roles (opportunity cost only)</t>
  </si>
  <si>
    <t>2. INFRASTRUCTURE &amp; TOOLS</t>
  </si>
  <si>
    <t>CDN &amp; Asset Delivery</t>
  </si>
  <si>
    <t>Cloudflare free tier covers student traffic</t>
  </si>
  <si>
    <t>Database (managed SQL/NoSQL)</t>
  </si>
  <si>
    <t>Studio: managed RDS. Students: Supabase free → $20/mo</t>
  </si>
  <si>
    <t>Monitoring &amp; Analytics (Datadog/Mix)</t>
  </si>
  <si>
    <t>Students: free tiers sufficient at MVP scale</t>
  </si>
  <si>
    <t>Apple Developer Account</t>
  </si>
  <si>
    <t>Same for both — $99/yr required</t>
  </si>
  <si>
    <t>Google Play Developer Account</t>
  </si>
  <si>
    <t>One-time fee, same for both</t>
  </si>
  <si>
    <t>Unity Pro Licenses (3 seats)</t>
  </si>
  <si>
    <t>Students: Unity Personal free under $200K revenue</t>
  </si>
  <si>
    <t>Adobe Creative Cloud (2 seats)</t>
  </si>
  <si>
    <t>Students: Figma free + GIMP/Krita open source</t>
  </si>
  <si>
    <t>Figma Professional</t>
  </si>
  <si>
    <t>Students: Figma starter (free)</t>
  </si>
  <si>
    <t>Project Management (JIRA/Linear)</t>
  </si>
  <si>
    <t>Students: GitHub Projects (free)</t>
  </si>
  <si>
    <t>Communication (Slack)</t>
  </si>
  <si>
    <t>Students: Discord (free)</t>
  </si>
  <si>
    <t>GitHub Enterprise</t>
  </si>
  <si>
    <t>Students: GitHub free + GitHub Student Pack</t>
  </si>
  <si>
    <t>Subtotal — Infrastructure &amp; Tools</t>
  </si>
  <si>
    <t>3. MARKETING &amp; USER ACQUISITION</t>
  </si>
  <si>
    <t>Influencer / Creator Partnerships</t>
  </si>
  <si>
    <t>TikTok creator collab deals × duration. Students: organic outreach</t>
  </si>
  <si>
    <t>ASO Tools (AppFollow, SensorTower)</t>
  </si>
  <si>
    <t>Paid intelligence tools × duration. Students: free tier</t>
  </si>
  <si>
    <t>Brand Assets &amp; Trailer Production</t>
  </si>
  <si>
    <t>Studio: outsourced video. Students: smartphone-shot DIY</t>
  </si>
  <si>
    <t>Subtotal — Marketing &amp; UA</t>
  </si>
  <si>
    <t>4. OVERHEAD &amp; MISC</t>
  </si>
  <si>
    <t>Legal &amp; Accounting</t>
  </si>
  <si>
    <t>Ongoing counsel × duration. Students: USD 500 LLC formation</t>
  </si>
  <si>
    <t>Employee Benefits &amp; Payroll Tax (~25%)</t>
  </si>
  <si>
    <t>25% of studio salary base — auto-calculated</t>
  </si>
  <si>
    <t>Equipment (laptops, peripherals)</t>
  </si>
  <si>
    <t>One-time provisioning. Students: own laptops ~USD 750/person</t>
  </si>
  <si>
    <t>Misc (travel, conferences, contingency)</t>
  </si>
  <si>
    <t>GDC, networking, contingency × duration. Students: minimal</t>
  </si>
  <si>
    <t>Subtotal — Overhead</t>
  </si>
  <si>
    <t>TOTAL COST (respective timelines)</t>
  </si>
  <si>
    <t>KEY COMPARISON METRICS</t>
  </si>
  <si>
    <t>person-mo</t>
  </si>
  <si>
    <t>Studio effort — 10 FTE × 12 months</t>
  </si>
  <si>
    <t>Total person-months (Students, part-time adjusted)</t>
  </si>
  <si>
    <t>2 ppl × 18 mo × (25h/40h) = ~22.5 full-time-equivalent months</t>
  </si>
  <si>
    <t>Cost per person-month (Studio)</t>
  </si>
  <si>
    <t>$/person-mo</t>
  </si>
  <si>
    <t>Total studio cost divided by total person-months</t>
  </si>
  <si>
    <t>Cost per person-month (Students, incl. opp.)</t>
  </si>
  <si>
    <t>Total student cost (opp) divided by part-time-adjusted person-months</t>
  </si>
  <si>
    <t>Cost ratio — Studio vs Student out-of-pocket</t>
  </si>
  <si>
    <t>x</t>
  </si>
  <si>
    <t>How many times more expensive the studio is vs. zero-wage bootstrap</t>
  </si>
  <si>
    <t>Cost ratio — Studio vs Student incl. opportunity cost</t>
  </si>
  <si>
    <t>Gap when student foregone wages are counted</t>
  </si>
  <si>
    <t>Monthly burn — Studio</t>
  </si>
  <si>
    <t>$/mo</t>
  </si>
  <si>
    <t>Average monthly studio spend over 12 months</t>
  </si>
  <si>
    <t>Monthly burn — Students (out-of-pocket)</t>
  </si>
  <si>
    <t>Average monthly student cash spend over 18 months</t>
  </si>
  <si>
    <t>IMPORTANT: These scenarios are NOT apples-to-apples. Studio delivers a full product in 12 months with 120 person-months of effort. Students deliver a lean MVP in 18 months with ~22 FTE-equivalent person-months. The cost gap is real — but so is the scope gap. The 539x+ ratio reveals the cost of organizational overhead, not a claim that 2 students can match a 10-person studio.</t>
  </si>
  <si>
    <t>1. PERSONNEL</t>
  </si>
  <si>
    <t>Subtotal — Personnel</t>
  </si>
  <si>
    <t>Truth or Dare</t>
  </si>
  <si>
    <t>Forgone wages: $30/hr x 25 hrs/wk x 4 wk/mo x 18 months x 2 people — auto-updates from assumptions</t>
  </si>
  <si>
    <t>Studio: 12 months (full product). Students: 18 months (lean MVP) — different 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</si>
</sst>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$#,##0;&quot;($&quot;#,##0\);\-"/>
    <numFmt numFmtId="166" formatCode="0.0\x"/>
  </numFmts>
  <fonts count="18" x14ac:knownFonts="1">
    <font>
      <sz val="12"/>
      <color theme="1"/>
      <name val="Aptos Narrow"/>
      <family val="2"/>
      <charset val="1"/>
    </font>
    <font>
      <b/>
      <sz val="14"/>
      <color rgb="FFFFFFFF"/>
      <name val="Aptos Narrow"/>
      <family val="2"/>
      <charset val="1"/>
    </font>
    <font>
      <b/>
      <sz val="12"/>
      <color rgb="FFFFFFFF"/>
      <name val="Aptos Narrow"/>
      <family val="2"/>
      <charset val="1"/>
    </font>
    <font>
      <b/>
      <sz val="12"/>
      <color rgb="FFFFFFFF"/>
      <name val="Aptos Narrow"/>
      <charset val="1"/>
    </font>
    <font>
      <b/>
      <sz val="12"/>
      <color theme="1"/>
      <name val="Aptos Narrow"/>
      <family val="2"/>
      <charset val="1"/>
    </font>
    <font>
      <sz val="12"/>
      <color theme="1"/>
      <name val="Aptos Narrow"/>
      <charset val="1"/>
    </font>
    <font>
      <b/>
      <sz val="14"/>
      <color rgb="FFFFFFFF"/>
      <name val="Arial"/>
      <charset val="1"/>
    </font>
    <font>
      <i/>
      <sz val="9"/>
      <color rgb="FF718096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0"/>
      <color rgb="FF1A5276"/>
      <name val="Arial"/>
      <charset val="1"/>
    </font>
    <font>
      <b/>
      <sz val="10"/>
      <name val="Arial"/>
      <charset val="1"/>
    </font>
    <font>
      <b/>
      <sz val="12"/>
      <color rgb="FFFFFFFF"/>
      <name val="Arial"/>
      <charset val="1"/>
    </font>
    <font>
      <i/>
      <sz val="9"/>
      <color rgb="FF744210"/>
      <name val="Arial"/>
      <charset val="1"/>
    </font>
    <font>
      <b/>
      <sz val="10"/>
      <name val="Arial"/>
      <family val="2"/>
    </font>
    <font>
      <i/>
      <sz val="9"/>
      <color rgb="FF71809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1F4E78"/>
        <bgColor rgb="FF1A5276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4F1EA"/>
      </patternFill>
    </fill>
    <fill>
      <patternFill patternType="solid">
        <fgColor rgb="FFFFFFFF"/>
        <bgColor rgb="FFFEFCE8"/>
      </patternFill>
    </fill>
    <fill>
      <patternFill patternType="solid">
        <fgColor rgb="FFFFF2CC"/>
        <bgColor rgb="FFFFFACD"/>
      </patternFill>
    </fill>
    <fill>
      <patternFill patternType="solid">
        <fgColor rgb="FF2D3748"/>
        <bgColor rgb="FF333300"/>
      </patternFill>
    </fill>
    <fill>
      <patternFill patternType="solid">
        <fgColor rgb="FFC05621"/>
        <bgColor rgb="FF993366"/>
      </patternFill>
    </fill>
    <fill>
      <patternFill patternType="solid">
        <fgColor rgb="FF4A5568"/>
        <bgColor rgb="FF1F4E78"/>
      </patternFill>
    </fill>
    <fill>
      <patternFill patternType="solid">
        <fgColor rgb="FFF4F1EA"/>
        <bgColor rgb="FFF2F2F2"/>
      </patternFill>
    </fill>
    <fill>
      <patternFill patternType="solid">
        <fgColor rgb="FFFFFACD"/>
        <bgColor rgb="FFFFF2CC"/>
      </patternFill>
    </fill>
    <fill>
      <patternFill patternType="solid">
        <fgColor rgb="FFFEFCE8"/>
        <bgColor rgb="FFFFFFFF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7" fillId="0" borderId="0" xfId="0" applyFont="1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164" fontId="0" fillId="0" borderId="3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0" fillId="6" borderId="3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8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vertical="center" wrapText="1"/>
    </xf>
    <xf numFmtId="0" fontId="9" fillId="0" borderId="0" xfId="0" applyFont="1"/>
    <xf numFmtId="1" fontId="10" fillId="0" borderId="0" xfId="0" applyNumberFormat="1" applyFont="1"/>
    <xf numFmtId="0" fontId="7" fillId="0" borderId="0" xfId="0" applyFont="1" applyAlignment="1">
      <alignment vertical="center" wrapText="1"/>
    </xf>
    <xf numFmtId="0" fontId="12" fillId="0" borderId="0" xfId="0" applyFont="1"/>
    <xf numFmtId="0" fontId="8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vertical="center" wrapText="1"/>
    </xf>
    <xf numFmtId="165" fontId="11" fillId="0" borderId="0" xfId="0" applyNumberFormat="1" applyFont="1"/>
    <xf numFmtId="165" fontId="10" fillId="0" borderId="0" xfId="0" applyNumberFormat="1" applyFont="1"/>
    <xf numFmtId="0" fontId="13" fillId="11" borderId="0" xfId="0" applyFont="1" applyFill="1"/>
    <xf numFmtId="165" fontId="13" fillId="11" borderId="0" xfId="0" applyNumberFormat="1" applyFont="1" applyFill="1"/>
    <xf numFmtId="0" fontId="14" fillId="7" borderId="0" xfId="0" applyFont="1" applyFill="1"/>
    <xf numFmtId="165" fontId="14" fillId="7" borderId="0" xfId="0" applyNumberFormat="1" applyFont="1" applyFill="1"/>
    <xf numFmtId="164" fontId="11" fillId="0" borderId="0" xfId="0" applyNumberFormat="1" applyFont="1"/>
    <xf numFmtId="164" fontId="7" fillId="0" borderId="0" xfId="0" applyNumberFormat="1" applyFont="1"/>
    <xf numFmtId="166" fontId="11" fillId="0" borderId="0" xfId="0" applyNumberFormat="1" applyFont="1"/>
    <xf numFmtId="0" fontId="16" fillId="11" borderId="0" xfId="0" applyFont="1" applyFill="1"/>
    <xf numFmtId="0" fontId="13" fillId="10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7" fillId="0" borderId="0" xfId="0" applyFont="1"/>
    <xf numFmtId="0" fontId="8" fillId="8" borderId="0" xfId="0" applyFont="1" applyFill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1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18096"/>
      <rgbColor rgb="FF9999FF"/>
      <rgbColor rgb="FF993366"/>
      <rgbColor rgb="FFFFFACD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1EA"/>
      <rgbColor rgb="FFFEFCE8"/>
      <rgbColor rgb="FFFFF2CC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C05621"/>
      <rgbColor rgb="FF4A5568"/>
      <rgbColor rgb="FF969696"/>
      <rgbColor rgb="FF1A5276"/>
      <rgbColor rgb="FF339966"/>
      <rgbColor rgb="FF003300"/>
      <rgbColor rgb="FF333300"/>
      <rgbColor rgb="FF744210"/>
      <rgbColor rgb="FF993366"/>
      <rgbColor rgb="FF1F4E78"/>
      <rgbColor rgb="FF2D374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6D7D8F7-8FC4-AE4D-AFA8-D6CE5B54783E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dffc5f52-ead5-4b45-b204-7cbc6b31e5b5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D17" sqref="D17"/>
    </sheetView>
  </sheetViews>
  <sheetFormatPr baseColWidth="10" defaultColWidth="10.5" defaultRowHeight="16" x14ac:dyDescent="0.2"/>
  <cols>
    <col min="1" max="1" width="26.6640625" customWidth="1"/>
    <col min="2" max="2" width="15" customWidth="1"/>
    <col min="3" max="3" width="18.33203125" customWidth="1"/>
    <col min="4" max="4" width="46.6640625" customWidth="1"/>
    <col min="5" max="5" width="30" customWidth="1"/>
    <col min="6" max="6" width="38.33203125" customWidth="1"/>
    <col min="7" max="7" width="36.6640625" customWidth="1"/>
    <col min="8" max="8" width="40" customWidth="1"/>
    <col min="9" max="9" width="18.33203125" customWidth="1"/>
    <col min="10" max="10" width="21.6640625" customWidth="1"/>
  </cols>
  <sheetData>
    <row r="1" spans="1:10" ht="19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4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6" t="s">
        <v>9</v>
      </c>
      <c r="J2" s="4" t="s">
        <v>10</v>
      </c>
    </row>
    <row r="3" spans="1:10" ht="51" x14ac:dyDescent="0.2">
      <c r="A3" s="7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10" t="s">
        <v>18</v>
      </c>
      <c r="I3" s="11">
        <v>4.5999999999999996</v>
      </c>
      <c r="J3" s="12" t="s">
        <v>19</v>
      </c>
    </row>
    <row r="4" spans="1:10" ht="51" x14ac:dyDescent="0.2">
      <c r="A4" s="7" t="s">
        <v>20</v>
      </c>
      <c r="B4" s="8" t="s">
        <v>12</v>
      </c>
      <c r="C4" s="8" t="s">
        <v>21</v>
      </c>
      <c r="D4" s="8" t="s">
        <v>22</v>
      </c>
      <c r="E4" s="8" t="s">
        <v>23</v>
      </c>
      <c r="F4" s="8" t="s">
        <v>24</v>
      </c>
      <c r="G4" s="9" t="s">
        <v>25</v>
      </c>
      <c r="H4" s="10" t="s">
        <v>26</v>
      </c>
      <c r="I4" s="11">
        <v>4.5</v>
      </c>
      <c r="J4" s="12" t="s">
        <v>27</v>
      </c>
    </row>
    <row r="5" spans="1:10" ht="34" x14ac:dyDescent="0.2">
      <c r="A5" s="7" t="s">
        <v>175</v>
      </c>
      <c r="B5" s="8" t="s">
        <v>12</v>
      </c>
      <c r="C5" s="8" t="s">
        <v>28</v>
      </c>
      <c r="D5" s="8" t="s">
        <v>29</v>
      </c>
      <c r="E5" s="8" t="s">
        <v>30</v>
      </c>
      <c r="F5" s="8" t="s">
        <v>31</v>
      </c>
      <c r="G5" s="9" t="s">
        <v>32</v>
      </c>
      <c r="H5" s="10" t="s">
        <v>33</v>
      </c>
      <c r="I5" s="11">
        <v>4.3</v>
      </c>
      <c r="J5" s="12" t="s">
        <v>34</v>
      </c>
    </row>
    <row r="6" spans="1:10" ht="34" x14ac:dyDescent="0.2">
      <c r="A6" s="7" t="s">
        <v>35</v>
      </c>
      <c r="B6" s="8" t="s">
        <v>12</v>
      </c>
      <c r="C6" s="8" t="s">
        <v>28</v>
      </c>
      <c r="D6" s="8" t="s">
        <v>36</v>
      </c>
      <c r="E6" s="8" t="s">
        <v>37</v>
      </c>
      <c r="F6" s="8" t="s">
        <v>38</v>
      </c>
      <c r="G6" s="9" t="s">
        <v>39</v>
      </c>
      <c r="H6" s="10" t="s">
        <v>40</v>
      </c>
      <c r="I6" s="11">
        <v>4.4000000000000004</v>
      </c>
      <c r="J6" s="12" t="s">
        <v>27</v>
      </c>
    </row>
    <row r="7" spans="1:10" ht="51" x14ac:dyDescent="0.2">
      <c r="A7" s="7" t="s">
        <v>41</v>
      </c>
      <c r="B7" s="8" t="s">
        <v>12</v>
      </c>
      <c r="C7" s="8" t="s">
        <v>28</v>
      </c>
      <c r="D7" s="8" t="s">
        <v>42</v>
      </c>
      <c r="E7" s="8" t="s">
        <v>43</v>
      </c>
      <c r="F7" s="8" t="s">
        <v>44</v>
      </c>
      <c r="G7" s="9" t="s">
        <v>45</v>
      </c>
      <c r="H7" s="10" t="s">
        <v>46</v>
      </c>
      <c r="I7" s="11">
        <v>4.2</v>
      </c>
      <c r="J7" s="12" t="s">
        <v>27</v>
      </c>
    </row>
    <row r="8" spans="1:10" ht="51" x14ac:dyDescent="0.2">
      <c r="A8" s="13" t="s">
        <v>47</v>
      </c>
      <c r="B8" s="14" t="s">
        <v>12</v>
      </c>
      <c r="C8" s="14" t="s">
        <v>48</v>
      </c>
      <c r="D8" s="14" t="s">
        <v>49</v>
      </c>
      <c r="E8" s="14" t="s">
        <v>50</v>
      </c>
      <c r="F8" s="14" t="s">
        <v>51</v>
      </c>
      <c r="G8" s="15" t="s">
        <v>52</v>
      </c>
      <c r="H8" s="16" t="s">
        <v>53</v>
      </c>
      <c r="I8" s="17" t="s">
        <v>54</v>
      </c>
      <c r="J8" s="18" t="s">
        <v>54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topLeftCell="A18" zoomScale="150" zoomScaleNormal="100" workbookViewId="0">
      <selection activeCell="R47" sqref="R47"/>
    </sheetView>
  </sheetViews>
  <sheetFormatPr baseColWidth="10" defaultColWidth="8.5" defaultRowHeight="16" x14ac:dyDescent="0.2"/>
  <cols>
    <col min="1" max="1" width="44" customWidth="1"/>
    <col min="2" max="4" width="24" customWidth="1"/>
    <col min="5" max="5" width="52" customWidth="1"/>
  </cols>
  <sheetData>
    <row r="1" spans="1:5" ht="18" x14ac:dyDescent="0.2">
      <c r="A1" s="39" t="s">
        <v>55</v>
      </c>
      <c r="B1" s="39"/>
      <c r="C1" s="39"/>
      <c r="D1" s="39"/>
      <c r="E1" s="39"/>
    </row>
    <row r="2" spans="1:5" x14ac:dyDescent="0.2">
      <c r="A2" s="40" t="s">
        <v>56</v>
      </c>
      <c r="B2" s="40"/>
      <c r="C2" s="40"/>
      <c r="D2" s="40"/>
      <c r="E2" s="40"/>
    </row>
    <row r="3" spans="1:5" x14ac:dyDescent="0.2">
      <c r="E3" s="19"/>
    </row>
    <row r="4" spans="1:5" x14ac:dyDescent="0.2">
      <c r="A4" s="41" t="s">
        <v>57</v>
      </c>
      <c r="B4" s="41"/>
      <c r="C4" s="41"/>
      <c r="D4" s="41"/>
      <c r="E4" s="41"/>
    </row>
    <row r="5" spans="1:5" x14ac:dyDescent="0.2">
      <c r="A5" s="20" t="s">
        <v>58</v>
      </c>
      <c r="B5" s="20" t="s">
        <v>59</v>
      </c>
      <c r="C5" s="20" t="s">
        <v>60</v>
      </c>
      <c r="D5" s="20" t="s">
        <v>61</v>
      </c>
      <c r="E5" s="21" t="s">
        <v>62</v>
      </c>
    </row>
    <row r="6" spans="1:5" ht="26" x14ac:dyDescent="0.2">
      <c r="A6" s="22" t="s">
        <v>63</v>
      </c>
      <c r="B6" s="23">
        <v>9</v>
      </c>
      <c r="D6" s="1" t="s">
        <v>64</v>
      </c>
      <c r="E6" s="44" t="s">
        <v>177</v>
      </c>
    </row>
    <row r="7" spans="1:5" x14ac:dyDescent="0.2">
      <c r="A7" s="22" t="s">
        <v>65</v>
      </c>
      <c r="C7" s="23">
        <v>18</v>
      </c>
      <c r="D7" s="1" t="s">
        <v>64</v>
      </c>
      <c r="E7" s="24" t="s">
        <v>66</v>
      </c>
    </row>
    <row r="8" spans="1:5" ht="26" x14ac:dyDescent="0.2">
      <c r="A8" s="22" t="s">
        <v>67</v>
      </c>
      <c r="B8" s="23">
        <v>10</v>
      </c>
      <c r="D8" s="1" t="s">
        <v>68</v>
      </c>
      <c r="E8" s="44" t="s">
        <v>69</v>
      </c>
    </row>
    <row r="9" spans="1:5" x14ac:dyDescent="0.2">
      <c r="A9" s="22" t="s">
        <v>70</v>
      </c>
      <c r="C9" s="23">
        <v>2</v>
      </c>
      <c r="D9" s="1" t="s">
        <v>68</v>
      </c>
      <c r="E9" s="24" t="s">
        <v>71</v>
      </c>
    </row>
    <row r="10" spans="1:5" x14ac:dyDescent="0.2">
      <c r="A10" s="22" t="s">
        <v>72</v>
      </c>
      <c r="B10" s="23">
        <v>40</v>
      </c>
      <c r="D10" s="1" t="s">
        <v>73</v>
      </c>
      <c r="E10" s="24" t="s">
        <v>74</v>
      </c>
    </row>
    <row r="11" spans="1:5" x14ac:dyDescent="0.2">
      <c r="A11" s="22" t="s">
        <v>75</v>
      </c>
      <c r="C11" s="23">
        <v>25</v>
      </c>
      <c r="D11" s="1" t="s">
        <v>73</v>
      </c>
      <c r="E11" s="24" t="s">
        <v>76</v>
      </c>
    </row>
    <row r="12" spans="1:5" x14ac:dyDescent="0.2">
      <c r="A12" s="22" t="s">
        <v>77</v>
      </c>
      <c r="C12" s="23">
        <v>30</v>
      </c>
      <c r="D12" s="1" t="s">
        <v>78</v>
      </c>
      <c r="E12" s="24" t="s">
        <v>79</v>
      </c>
    </row>
    <row r="13" spans="1:5" ht="26" x14ac:dyDescent="0.2">
      <c r="A13" s="43" t="s">
        <v>81</v>
      </c>
      <c r="B13" s="25" t="s">
        <v>82</v>
      </c>
      <c r="C13" s="25" t="s">
        <v>83</v>
      </c>
      <c r="E13" s="24" t="s">
        <v>84</v>
      </c>
    </row>
    <row r="14" spans="1:5" x14ac:dyDescent="0.2">
      <c r="E14" s="19"/>
    </row>
    <row r="15" spans="1:5" ht="42" x14ac:dyDescent="0.2">
      <c r="A15" s="26" t="s">
        <v>85</v>
      </c>
      <c r="B15" s="26" t="s">
        <v>86</v>
      </c>
      <c r="C15" s="26" t="s">
        <v>87</v>
      </c>
      <c r="D15" s="26" t="s">
        <v>88</v>
      </c>
      <c r="E15" s="27" t="s">
        <v>62</v>
      </c>
    </row>
    <row r="16" spans="1:5" x14ac:dyDescent="0.2">
      <c r="A16" s="42" t="s">
        <v>173</v>
      </c>
      <c r="B16" s="38"/>
      <c r="C16" s="38"/>
      <c r="D16" s="38"/>
      <c r="E16" s="38"/>
    </row>
    <row r="17" spans="1:5" x14ac:dyDescent="0.2">
      <c r="A17" s="22" t="s">
        <v>89</v>
      </c>
      <c r="B17" s="28">
        <f>120000*B6/12</f>
        <v>90000</v>
      </c>
      <c r="C17" s="29">
        <v>0</v>
      </c>
      <c r="D17" s="29">
        <v>0</v>
      </c>
      <c r="E17" s="24" t="s">
        <v>90</v>
      </c>
    </row>
    <row r="18" spans="1:5" x14ac:dyDescent="0.2">
      <c r="A18" s="22" t="s">
        <v>91</v>
      </c>
      <c r="B18" s="28">
        <f>145000*B6/12</f>
        <v>108750</v>
      </c>
      <c r="C18" s="29">
        <v>0</v>
      </c>
      <c r="D18" s="29">
        <v>0</v>
      </c>
      <c r="E18" s="24" t="s">
        <v>92</v>
      </c>
    </row>
    <row r="19" spans="1:5" x14ac:dyDescent="0.2">
      <c r="A19" s="22" t="s">
        <v>93</v>
      </c>
      <c r="B19" s="28">
        <f>130000*B6/12</f>
        <v>97500</v>
      </c>
      <c r="C19" s="29">
        <v>0</v>
      </c>
      <c r="D19" s="29">
        <v>0</v>
      </c>
      <c r="E19" s="24" t="s">
        <v>94</v>
      </c>
    </row>
    <row r="20" spans="1:5" x14ac:dyDescent="0.2">
      <c r="A20" s="22" t="s">
        <v>95</v>
      </c>
      <c r="B20" s="28">
        <f>130000*B6/12</f>
        <v>97500</v>
      </c>
      <c r="C20" s="29">
        <v>0</v>
      </c>
      <c r="D20" s="29">
        <v>0</v>
      </c>
      <c r="E20" s="24" t="s">
        <v>94</v>
      </c>
    </row>
    <row r="21" spans="1:5" x14ac:dyDescent="0.2">
      <c r="A21" s="22" t="s">
        <v>96</v>
      </c>
      <c r="B21" s="28">
        <f>105000*B6/12</f>
        <v>78750</v>
      </c>
      <c r="C21" s="29">
        <v>0</v>
      </c>
      <c r="D21" s="29">
        <v>0</v>
      </c>
      <c r="E21" s="24" t="s">
        <v>97</v>
      </c>
    </row>
    <row r="22" spans="1:5" x14ac:dyDescent="0.2">
      <c r="A22" s="22" t="s">
        <v>98</v>
      </c>
      <c r="B22" s="28">
        <f>95000*B6/12</f>
        <v>71250</v>
      </c>
      <c r="C22" s="29">
        <v>0</v>
      </c>
      <c r="D22" s="29">
        <v>0</v>
      </c>
      <c r="E22" s="24" t="s">
        <v>99</v>
      </c>
    </row>
    <row r="23" spans="1:5" x14ac:dyDescent="0.2">
      <c r="A23" s="22" t="s">
        <v>100</v>
      </c>
      <c r="B23" s="28">
        <f>85000*B6/12</f>
        <v>63750</v>
      </c>
      <c r="C23" s="29">
        <v>0</v>
      </c>
      <c r="D23" s="29">
        <v>0</v>
      </c>
      <c r="E23" s="24" t="s">
        <v>101</v>
      </c>
    </row>
    <row r="24" spans="1:5" x14ac:dyDescent="0.2">
      <c r="A24" s="22" t="s">
        <v>102</v>
      </c>
      <c r="B24" s="28">
        <f>140000*B6/12</f>
        <v>105000</v>
      </c>
      <c r="C24" s="29">
        <v>0</v>
      </c>
      <c r="D24" s="29">
        <v>0</v>
      </c>
      <c r="E24" s="24" t="s">
        <v>103</v>
      </c>
    </row>
    <row r="25" spans="1:5" x14ac:dyDescent="0.2">
      <c r="A25" s="22" t="s">
        <v>104</v>
      </c>
      <c r="B25" s="28">
        <f>70000*B6/12</f>
        <v>52500</v>
      </c>
      <c r="C25" s="29">
        <v>0</v>
      </c>
      <c r="D25" s="29">
        <v>0</v>
      </c>
      <c r="E25" s="24" t="s">
        <v>105</v>
      </c>
    </row>
    <row r="26" spans="1:5" x14ac:dyDescent="0.2">
      <c r="A26" s="22" t="s">
        <v>106</v>
      </c>
      <c r="B26" s="28">
        <f>100000*B6/12</f>
        <v>75000</v>
      </c>
      <c r="C26" s="29">
        <v>0</v>
      </c>
      <c r="D26" s="29">
        <v>0</v>
      </c>
      <c r="E26" s="24" t="s">
        <v>107</v>
      </c>
    </row>
    <row r="27" spans="1:5" ht="26" x14ac:dyDescent="0.2">
      <c r="A27" s="22" t="s">
        <v>108</v>
      </c>
      <c r="B27" s="29">
        <v>0</v>
      </c>
      <c r="C27" s="29">
        <v>0</v>
      </c>
      <c r="D27" s="28">
        <f>C12*C11*4.33*C7*C9</f>
        <v>116910</v>
      </c>
      <c r="E27" s="44" t="s">
        <v>176</v>
      </c>
    </row>
    <row r="28" spans="1:5" x14ac:dyDescent="0.2">
      <c r="A28" s="37" t="s">
        <v>174</v>
      </c>
      <c r="B28" s="31">
        <f>SUM(B17:B27)</f>
        <v>840000</v>
      </c>
      <c r="C28" s="31">
        <f>SUM(C17:C27)</f>
        <v>0</v>
      </c>
      <c r="D28" s="31">
        <f>SUM(D17:D27)</f>
        <v>116910</v>
      </c>
      <c r="E28" s="19"/>
    </row>
    <row r="29" spans="1:5" x14ac:dyDescent="0.2">
      <c r="A29" s="38" t="s">
        <v>109</v>
      </c>
      <c r="B29" s="38"/>
      <c r="C29" s="38"/>
      <c r="D29" s="38"/>
      <c r="E29" s="38"/>
    </row>
    <row r="30" spans="1:5" x14ac:dyDescent="0.2">
      <c r="A30" s="22" t="s">
        <v>110</v>
      </c>
      <c r="B30" s="28">
        <f>6000*B6/12</f>
        <v>4500</v>
      </c>
      <c r="C30" s="29">
        <v>0</v>
      </c>
      <c r="D30" s="29">
        <v>0</v>
      </c>
      <c r="E30" s="24" t="s">
        <v>111</v>
      </c>
    </row>
    <row r="31" spans="1:5" x14ac:dyDescent="0.2">
      <c r="A31" s="22" t="s">
        <v>112</v>
      </c>
      <c r="B31" s="28">
        <f>9600*B6/12</f>
        <v>7200</v>
      </c>
      <c r="C31" s="28">
        <f>240*C7/12</f>
        <v>360</v>
      </c>
      <c r="D31" s="28">
        <f>240*C7/12</f>
        <v>360</v>
      </c>
      <c r="E31" s="24" t="s">
        <v>113</v>
      </c>
    </row>
    <row r="32" spans="1:5" x14ac:dyDescent="0.2">
      <c r="A32" s="22" t="s">
        <v>114</v>
      </c>
      <c r="B32" s="28">
        <f>18000*B6/12</f>
        <v>13500</v>
      </c>
      <c r="C32" s="29">
        <v>0</v>
      </c>
      <c r="D32" s="29">
        <v>0</v>
      </c>
      <c r="E32" s="24" t="s">
        <v>115</v>
      </c>
    </row>
    <row r="33" spans="1:5" x14ac:dyDescent="0.2">
      <c r="A33" s="22" t="s">
        <v>116</v>
      </c>
      <c r="B33" s="28">
        <f>99*CEILING(B6/12,1)</f>
        <v>99</v>
      </c>
      <c r="C33" s="28">
        <f>99*CEILING(C7/12,1)/2</f>
        <v>99</v>
      </c>
      <c r="D33" s="28">
        <f>99*CEILING(C7/12,1)/2</f>
        <v>99</v>
      </c>
      <c r="E33" s="24" t="s">
        <v>117</v>
      </c>
    </row>
    <row r="34" spans="1:5" x14ac:dyDescent="0.2">
      <c r="A34" s="22" t="s">
        <v>118</v>
      </c>
      <c r="B34" s="29">
        <v>25</v>
      </c>
      <c r="C34" s="29">
        <v>25</v>
      </c>
      <c r="D34" s="29">
        <v>25</v>
      </c>
      <c r="E34" s="24" t="s">
        <v>119</v>
      </c>
    </row>
    <row r="35" spans="1:5" x14ac:dyDescent="0.2">
      <c r="A35" s="22" t="s">
        <v>120</v>
      </c>
      <c r="B35" s="28">
        <f>6000*B6/12</f>
        <v>4500</v>
      </c>
      <c r="C35" s="29">
        <v>0</v>
      </c>
      <c r="D35" s="29">
        <v>0</v>
      </c>
      <c r="E35" s="24" t="s">
        <v>121</v>
      </c>
    </row>
    <row r="36" spans="1:5" x14ac:dyDescent="0.2">
      <c r="A36" s="22" t="s">
        <v>122</v>
      </c>
      <c r="B36" s="28">
        <f>1440*B6/12</f>
        <v>1080</v>
      </c>
      <c r="C36" s="29">
        <v>0</v>
      </c>
      <c r="D36" s="29">
        <v>0</v>
      </c>
      <c r="E36" s="24" t="s">
        <v>123</v>
      </c>
    </row>
    <row r="37" spans="1:5" x14ac:dyDescent="0.2">
      <c r="A37" s="22" t="s">
        <v>124</v>
      </c>
      <c r="B37" s="28">
        <f>1440*B6/12</f>
        <v>1080</v>
      </c>
      <c r="C37" s="29">
        <v>0</v>
      </c>
      <c r="D37" s="29">
        <v>0</v>
      </c>
      <c r="E37" s="24" t="s">
        <v>125</v>
      </c>
    </row>
    <row r="38" spans="1:5" x14ac:dyDescent="0.2">
      <c r="A38" s="22" t="s">
        <v>126</v>
      </c>
      <c r="B38" s="28">
        <f>1800*B6/12</f>
        <v>1350</v>
      </c>
      <c r="C38" s="29">
        <v>0</v>
      </c>
      <c r="D38" s="29">
        <v>0</v>
      </c>
      <c r="E38" s="24" t="s">
        <v>127</v>
      </c>
    </row>
    <row r="39" spans="1:5" x14ac:dyDescent="0.2">
      <c r="A39" s="22" t="s">
        <v>128</v>
      </c>
      <c r="B39" s="28">
        <f>960*B6/12</f>
        <v>720</v>
      </c>
      <c r="C39" s="29">
        <v>0</v>
      </c>
      <c r="D39" s="29">
        <v>0</v>
      </c>
      <c r="E39" s="24" t="s">
        <v>129</v>
      </c>
    </row>
    <row r="40" spans="1:5" x14ac:dyDescent="0.2">
      <c r="A40" s="22" t="s">
        <v>130</v>
      </c>
      <c r="B40" s="28">
        <f>2640*B6/12</f>
        <v>1980</v>
      </c>
      <c r="C40" s="29">
        <v>0</v>
      </c>
      <c r="D40" s="29">
        <v>0</v>
      </c>
      <c r="E40" s="24" t="s">
        <v>131</v>
      </c>
    </row>
    <row r="41" spans="1:5" x14ac:dyDescent="0.2">
      <c r="A41" s="30" t="s">
        <v>132</v>
      </c>
      <c r="B41" s="31">
        <f>SUM(B30:B40)</f>
        <v>36034</v>
      </c>
      <c r="C41" s="31">
        <f>SUM(C30:C40)</f>
        <v>484</v>
      </c>
      <c r="D41" s="31">
        <f>SUM(D30:D40)</f>
        <v>484</v>
      </c>
      <c r="E41" s="19"/>
    </row>
    <row r="42" spans="1:5" x14ac:dyDescent="0.2">
      <c r="A42" s="38" t="s">
        <v>133</v>
      </c>
      <c r="B42" s="38"/>
      <c r="C42" s="38"/>
      <c r="D42" s="38"/>
      <c r="E42" s="38"/>
    </row>
    <row r="43" spans="1:5" x14ac:dyDescent="0.2">
      <c r="A43" s="22" t="s">
        <v>134</v>
      </c>
      <c r="B43" s="28">
        <f>30000*B6/12</f>
        <v>22500</v>
      </c>
      <c r="C43" s="29">
        <v>0</v>
      </c>
      <c r="D43" s="29">
        <v>0</v>
      </c>
      <c r="E43" s="24" t="s">
        <v>135</v>
      </c>
    </row>
    <row r="44" spans="1:5" x14ac:dyDescent="0.2">
      <c r="A44" s="22" t="s">
        <v>136</v>
      </c>
      <c r="B44" s="28">
        <f>6000*B6/12</f>
        <v>4500</v>
      </c>
      <c r="C44" s="29">
        <v>0</v>
      </c>
      <c r="D44" s="29">
        <v>0</v>
      </c>
      <c r="E44" s="24" t="s">
        <v>137</v>
      </c>
    </row>
    <row r="45" spans="1:5" x14ac:dyDescent="0.2">
      <c r="A45" s="22" t="s">
        <v>138</v>
      </c>
      <c r="B45" s="29">
        <v>25000</v>
      </c>
      <c r="C45" s="29">
        <v>0</v>
      </c>
      <c r="D45" s="29">
        <v>0</v>
      </c>
      <c r="E45" s="24" t="s">
        <v>139</v>
      </c>
    </row>
    <row r="46" spans="1:5" x14ac:dyDescent="0.2">
      <c r="A46" s="30" t="s">
        <v>140</v>
      </c>
      <c r="B46" s="31">
        <f>SUM(B43:B45)</f>
        <v>52000</v>
      </c>
      <c r="C46" s="31">
        <f>SUM(C43:C45)</f>
        <v>0</v>
      </c>
      <c r="D46" s="31">
        <f>SUM(D43:D45)</f>
        <v>0</v>
      </c>
      <c r="E46" s="19"/>
    </row>
    <row r="47" spans="1:5" x14ac:dyDescent="0.2">
      <c r="A47" s="38" t="s">
        <v>141</v>
      </c>
      <c r="B47" s="38"/>
      <c r="C47" s="38"/>
      <c r="D47" s="38"/>
      <c r="E47" s="38"/>
    </row>
    <row r="48" spans="1:5" x14ac:dyDescent="0.2">
      <c r="A48" s="22" t="s">
        <v>142</v>
      </c>
      <c r="B48" s="28">
        <f>18000*B6/12</f>
        <v>13500</v>
      </c>
      <c r="C48" s="29">
        <v>500</v>
      </c>
      <c r="D48" s="29">
        <v>500</v>
      </c>
      <c r="E48" s="24" t="s">
        <v>143</v>
      </c>
    </row>
    <row r="49" spans="1:5" x14ac:dyDescent="0.2">
      <c r="A49" s="22" t="s">
        <v>144</v>
      </c>
      <c r="B49" s="28">
        <f>0.25*SUM(B17:B26)</f>
        <v>210000</v>
      </c>
      <c r="C49" s="29">
        <v>0</v>
      </c>
      <c r="D49" s="29">
        <v>0</v>
      </c>
      <c r="E49" s="24" t="s">
        <v>145</v>
      </c>
    </row>
    <row r="50" spans="1:5" x14ac:dyDescent="0.2">
      <c r="A50" s="22" t="s">
        <v>146</v>
      </c>
      <c r="B50" s="29">
        <v>24000</v>
      </c>
      <c r="C50" s="29">
        <v>1500</v>
      </c>
      <c r="D50" s="29">
        <v>1500</v>
      </c>
      <c r="E50" s="24" t="s">
        <v>147</v>
      </c>
    </row>
    <row r="51" spans="1:5" x14ac:dyDescent="0.2">
      <c r="A51" s="22" t="s">
        <v>148</v>
      </c>
      <c r="B51" s="28">
        <f>15000*B6/12</f>
        <v>11250</v>
      </c>
      <c r="C51" s="29">
        <v>200</v>
      </c>
      <c r="D51" s="29">
        <v>200</v>
      </c>
      <c r="E51" s="24" t="s">
        <v>149</v>
      </c>
    </row>
    <row r="52" spans="1:5" x14ac:dyDescent="0.2">
      <c r="A52" s="30" t="s">
        <v>150</v>
      </c>
      <c r="B52" s="31">
        <f>SUM(B48:B51)</f>
        <v>258750</v>
      </c>
      <c r="C52" s="31">
        <f>SUM(C48:C51)</f>
        <v>2200</v>
      </c>
      <c r="D52" s="31">
        <f>SUM(D48:D51)</f>
        <v>2200</v>
      </c>
      <c r="E52" s="19"/>
    </row>
    <row r="53" spans="1:5" x14ac:dyDescent="0.2">
      <c r="A53" s="32" t="s">
        <v>151</v>
      </c>
      <c r="B53" s="33">
        <f>B28+B41+B46+B52</f>
        <v>1186784</v>
      </c>
      <c r="C53" s="33">
        <f>C28+C41+C46+C52</f>
        <v>2684</v>
      </c>
      <c r="D53" s="33">
        <f>D28+D41+D46+D52</f>
        <v>119594</v>
      </c>
      <c r="E53" s="19"/>
    </row>
    <row r="54" spans="1:5" x14ac:dyDescent="0.2">
      <c r="A54" s="38" t="s">
        <v>152</v>
      </c>
      <c r="B54" s="38"/>
      <c r="C54" s="38"/>
      <c r="D54" s="38"/>
      <c r="E54" s="38"/>
    </row>
    <row r="55" spans="1:5" x14ac:dyDescent="0.2">
      <c r="A55" s="22" t="s">
        <v>80</v>
      </c>
      <c r="B55" s="34">
        <f>B8*B6</f>
        <v>90</v>
      </c>
      <c r="D55" s="1" t="s">
        <v>153</v>
      </c>
      <c r="E55" s="24" t="s">
        <v>154</v>
      </c>
    </row>
    <row r="56" spans="1:5" x14ac:dyDescent="0.2">
      <c r="A56" s="22" t="s">
        <v>155</v>
      </c>
      <c r="C56" s="34">
        <f>C9*C7*(C11/40)</f>
        <v>22.5</v>
      </c>
      <c r="D56" s="35" t="s">
        <v>153</v>
      </c>
      <c r="E56" s="24" t="s">
        <v>156</v>
      </c>
    </row>
    <row r="57" spans="1:5" x14ac:dyDescent="0.2">
      <c r="A57" s="22" t="s">
        <v>157</v>
      </c>
      <c r="B57" s="34">
        <f>B53/(B8*B6)</f>
        <v>13186.488888888889</v>
      </c>
      <c r="D57" s="1" t="s">
        <v>158</v>
      </c>
      <c r="E57" s="24" t="s">
        <v>159</v>
      </c>
    </row>
    <row r="58" spans="1:5" x14ac:dyDescent="0.2">
      <c r="A58" s="22" t="s">
        <v>160</v>
      </c>
      <c r="D58" s="28">
        <f>D53/(C9*C7*(C11/40))</f>
        <v>5315.2888888888892</v>
      </c>
      <c r="E58" s="24" t="s">
        <v>161</v>
      </c>
    </row>
    <row r="59" spans="1:5" x14ac:dyDescent="0.2">
      <c r="A59" s="22" t="s">
        <v>162</v>
      </c>
      <c r="B59" s="36">
        <f>B53/C53</f>
        <v>442.16989567809242</v>
      </c>
      <c r="D59" s="1" t="s">
        <v>163</v>
      </c>
      <c r="E59" s="24" t="s">
        <v>164</v>
      </c>
    </row>
    <row r="60" spans="1:5" x14ac:dyDescent="0.2">
      <c r="A60" s="22" t="s">
        <v>165</v>
      </c>
      <c r="B60" s="36">
        <f>B53/D53</f>
        <v>9.9234409752997639</v>
      </c>
      <c r="D60" s="1" t="s">
        <v>163</v>
      </c>
      <c r="E60" s="24" t="s">
        <v>166</v>
      </c>
    </row>
    <row r="61" spans="1:5" x14ac:dyDescent="0.2">
      <c r="A61" s="22" t="s">
        <v>167</v>
      </c>
      <c r="B61" s="28">
        <f>B53/B6</f>
        <v>131864.88888888888</v>
      </c>
      <c r="D61" s="1" t="s">
        <v>168</v>
      </c>
      <c r="E61" s="24" t="s">
        <v>169</v>
      </c>
    </row>
    <row r="62" spans="1:5" x14ac:dyDescent="0.2">
      <c r="A62" s="22" t="s">
        <v>170</v>
      </c>
      <c r="C62" s="28">
        <f>C53/C7</f>
        <v>149.11111111111111</v>
      </c>
      <c r="D62" s="1" t="s">
        <v>168</v>
      </c>
      <c r="E62" s="24" t="s">
        <v>171</v>
      </c>
    </row>
    <row r="63" spans="1:5" ht="28" customHeight="1" x14ac:dyDescent="0.2">
      <c r="A63" s="45" t="s">
        <v>172</v>
      </c>
      <c r="B63" s="45"/>
      <c r="C63" s="45"/>
      <c r="D63" s="45"/>
      <c r="E63" s="45"/>
    </row>
  </sheetData>
  <mergeCells count="9">
    <mergeCell ref="A42:E42"/>
    <mergeCell ref="A47:E47"/>
    <mergeCell ref="A54:E54"/>
    <mergeCell ref="A63:E63"/>
    <mergeCell ref="A4:E4"/>
    <mergeCell ref="A16:E16"/>
    <mergeCell ref="A29:E29"/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Competitive Analysis</vt:lpstr>
      <vt:lpstr>Cost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EREN HASAN KASAP</dc:creator>
  <dc:description/>
  <cp:lastModifiedBy>EREN HASAN KASAP</cp:lastModifiedBy>
  <cp:revision>0</cp:revision>
  <dcterms:created xsi:type="dcterms:W3CDTF">2026-04-25T17:36:19Z</dcterms:created>
  <dcterms:modified xsi:type="dcterms:W3CDTF">2026-04-26T11:55:33Z</dcterms:modified>
  <dc:language>en-US</dc:language>
</cp:coreProperties>
</file>